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activeTab="0"/>
  </bookViews>
  <sheets>
    <sheet name="Лист5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<sst xmlns="http://schemas.openxmlformats.org/spreadsheetml/2006/main" count="83" uniqueCount="82">
  <si>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>Приложение 5</t>
  </si>
  <si>
    <t>к приказу ФАС России</t>
  </si>
  <si>
    <t>от 23.12.2011 № 893</t>
  </si>
  <si>
    <t>№ п/п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</si>
  <si>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</si>
  <si>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</si>
  <si>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</si>
  <si>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Виды (группы) товаров (работ, услуг), необходимых для оказания услуг по транспортировке газа по газораспредели-тельной сети*</t>
  </si>
  <si>
    <t>Объёмы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</si>
  <si>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1 полугодие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</si>
  <si>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1 квартал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</si>
  <si>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1 квартал, январь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</si>
  <si>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1 квартал, февраль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</si>
  <si>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1 квартал, март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</si>
  <si>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2 квартал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</si>
  <si>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2 квартал, апрель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</si>
  <si>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2 квартал, май</t>
  </si>
  <si>
    <t>Стоимость приобретаемых товаров (работ, услуг) отдельно по каждому виду (группе) товаров. Необходимых для оказания услуг по транспортировке газа по газораспредели-тельной сети за 
2 квартал, июнь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</si>
  <si>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</si>
  <si>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ГРС-1, ГРС3 
Рязань</t>
  </si>
  <si>
    <t>ГРС-1, ГРС-3</t>
  </si>
  <si>
    <t>Материалы и зап. части для эксплуатации и текущего ремонта сетей и оборудования</t>
  </si>
  <si>
    <t>в соответствии с условиями заключенных договоров</t>
  </si>
  <si>
    <t>Прямая закупка (закупка у единственного поставщика, исполнителя, подрядчика); открытый запрос предложений; открытый запрос предложений в электронной форме.</t>
  </si>
  <si>
    <t>Материалы и зап. части для капитального ремонта сетей и оборудования</t>
  </si>
  <si>
    <t>Газ на технологические нужды</t>
  </si>
  <si>
    <t>Технологические потери газа</t>
  </si>
  <si>
    <t>Электроэнергия</t>
  </si>
  <si>
    <t>Водоснабжение</t>
  </si>
  <si>
    <t>ГСМ</t>
  </si>
  <si>
    <t>Запчасти</t>
  </si>
  <si>
    <t>Услуги сторонних организаций (мойка, ремонт, техобслуживание и т.д.)</t>
  </si>
  <si>
    <t>Материальные расходы на содержание производственных зданий,материалы (хоз. инвентарь)</t>
  </si>
  <si>
    <t>Услуги по содержанию зданий</t>
  </si>
  <si>
    <t>Расходные материалы для средств связи</t>
  </si>
  <si>
    <t>Природный газ на собственные нужды</t>
  </si>
  <si>
    <t>Расходы на спец одежду и обувь</t>
  </si>
  <si>
    <t>Другие материалы (инструменты и приспособления)</t>
  </si>
  <si>
    <t>Прочие (в том числе для текущего и капитального ремонта зданий)</t>
  </si>
  <si>
    <t>Лизинг газопроводов</t>
  </si>
  <si>
    <t>Лизинг автотранспорта</t>
  </si>
  <si>
    <t>Страхование гражданской ответственности при эксплуатации опасных объектов</t>
  </si>
  <si>
    <t>Страхование имущества</t>
  </si>
  <si>
    <t>ОСАГО</t>
  </si>
  <si>
    <t>Добровольное страхование от несчастного случая</t>
  </si>
  <si>
    <t>Текущий ремонт прочих ОС</t>
  </si>
  <si>
    <t>Капитальный ремонт газопроводов</t>
  </si>
  <si>
    <t>Капитальный ремонт зданий, помещений</t>
  </si>
  <si>
    <t>Диагностика газораспределительных систем</t>
  </si>
  <si>
    <t>Услуги связи</t>
  </si>
  <si>
    <t>Услуги охраны</t>
  </si>
  <si>
    <t>Информационно-вычислительные услуги</t>
  </si>
  <si>
    <t>Нотариальные и юридические услуги</t>
  </si>
  <si>
    <t>Аудиторские услуги</t>
  </si>
  <si>
    <t>Консультационные услуги</t>
  </si>
  <si>
    <t>Услуги по техническому обслуживанию прочего оборудования</t>
  </si>
  <si>
    <t>Услуги по поверке контрольно-измерительных приборов</t>
  </si>
  <si>
    <t>Услуги на природоохранную деятельность</t>
  </si>
  <si>
    <t>Услуги на пожарную безопасность</t>
  </si>
  <si>
    <t>Подрядные работы</t>
  </si>
  <si>
    <t>Транспортные услуги</t>
  </si>
  <si>
    <t>Энергетическое обследование</t>
  </si>
  <si>
    <t>Контроль качества сварных соединений</t>
  </si>
  <si>
    <t>Техобслуживание объектов, подключение электропитания ГРП, програмирование счетчиков</t>
  </si>
  <si>
    <t>Контроль интенсивности запаха газа</t>
  </si>
  <si>
    <t>Изготовление маршрутной схемы и другие работы</t>
  </si>
  <si>
    <t>Охрана труда и техника безопасности</t>
  </si>
  <si>
    <t>Почтово-телеграфные и канцелярские расходы</t>
  </si>
  <si>
    <t>Прочие (проездные билеты)</t>
  </si>
  <si>
    <t xml:space="preserve">Представительские расходы, включ. в себестоимость  </t>
  </si>
  <si>
    <t>Командировочные расходы;</t>
  </si>
  <si>
    <t>Списание расходов на ПО и лицензии;</t>
  </si>
  <si>
    <t>Подготовка кадров;</t>
  </si>
  <si>
    <t>Приобретение прочих объектов стоимостью до 40 тыс. руб.;</t>
  </si>
  <si>
    <t>Подписка на периодическую печать</t>
  </si>
  <si>
    <t>Аренда земли;</t>
  </si>
  <si>
    <t>Расходы на рекламу;</t>
  </si>
  <si>
    <t>оформление в собственность земли, других ОС;</t>
  </si>
  <si>
    <t>*</t>
  </si>
  <si>
    <t>В целом на все сети газораспределения</t>
  </si>
  <si>
    <t>Стоимость указана в тысячах рублей, без НДС</t>
  </si>
  <si>
    <t>Информация о способах приобретения, стоимости и об объёмах товаров, необходимых для оказания услуг по транспортировке газа по газораспределительным сетям за  1 полугодие 2013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</si>
</sst>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</numFmts>
  <fonts count="9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0" fillId="0" borderId="1" xfId="0" applyFill="1" applyBorder="1" applyAlignment="1">
      <alignment vertical="top"/>
    </xf>
    <xf numFmtId="0" fontId="0" fillId="0" borderId="2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/>
    </xf>
    <xf numFmtId="0" fontId="0" fillId="0" borderId="8" xfId="18" applyFont="1" applyFill="1" applyBorder="1" applyAlignment="1" applyProtection="1">
      <alignment horizontal="left" vertical="center" wrapText="1"/>
      <protection/>
    </xf>
    <xf numFmtId="166" fontId="0" fillId="0" borderId="9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166" fontId="0" fillId="0" borderId="8" xfId="0" applyNumberFormat="1" applyFont="1" applyFill="1" applyBorder="1" applyAlignment="1">
      <alignment horizontal="center" vertical="center" wrapText="1"/>
    </xf>
    <xf numFmtId="172" fontId="0" fillId="0" borderId="8" xfId="18" applyNumberFormat="1" applyFont="1" applyBorder="1" applyAlignment="1">
      <alignment vertical="center"/>
      <protection/>
    </xf>
    <xf numFmtId="0" fontId="0" fillId="0" borderId="8" xfId="0" applyFont="1" applyFill="1" applyBorder="1" applyAlignment="1" applyProtection="1">
      <alignment horizontal="left" vertical="center" wrapText="1"/>
      <protection/>
    </xf>
    <xf numFmtId="0" fontId="0" fillId="0" borderId="8" xfId="19" applyFont="1" applyFill="1" applyBorder="1" applyAlignment="1">
      <alignment horizontal="left" vertical="center" wrapText="1"/>
      <protection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21" applyFont="1" applyFill="1" applyBorder="1" applyAlignment="1">
      <alignment horizontal="left" vertical="center" wrapText="1"/>
      <protection/>
    </xf>
    <xf numFmtId="172" fontId="5" fillId="0" borderId="8" xfId="18" applyNumberFormat="1" applyFont="1" applyBorder="1" applyAlignment="1">
      <alignment vertical="center"/>
      <protection/>
    </xf>
    <xf numFmtId="172" fontId="5" fillId="0" borderId="8" xfId="18" applyNumberFormat="1" applyFont="1" applyFill="1" applyBorder="1" applyAlignment="1">
      <alignment vertical="center"/>
      <protection/>
    </xf>
    <xf numFmtId="172" fontId="0" fillId="0" borderId="8" xfId="18" applyNumberFormat="1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0" fontId="8" fillId="0" borderId="8" xfId="17" applyFont="1" applyFill="1" applyBorder="1" applyAlignment="1">
      <alignment horizontal="left" vertical="center" wrapText="1"/>
      <protection/>
    </xf>
    <xf numFmtId="166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Alignment="1">
      <alignment horizont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8" xfId="0" applyFont="1" applyFill="1" applyBorder="1" applyAlignment="1">
      <alignment vertical="center" wrapText="1"/>
    </xf>
    <xf numFmtId="0" fontId="0" fillId="0" borderId="8" xfId="0" applyBorder="1" applyAlignment="1">
      <alignment/>
    </xf>
  </cellXfs>
  <cellStyles count="10">
    <cellStyle name="Normal" xfId="0"/>
    <cellStyle name="Currency" xfId="15"/>
    <cellStyle name="Currency [0]" xfId="16"/>
    <cellStyle name="Обычный_Бюджет доходов и расходов новая версия (2)" xfId="17"/>
    <cellStyle name="Обычный_Формы бюджетов ГРГ 2005_06_21" xfId="18"/>
    <cellStyle name="Обычный_Формы бюджетов РГК - версия 01_07" xfId="19"/>
    <cellStyle name="Percent" xfId="20"/>
    <cellStyle name="Стиль 1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workbookViewId="0" topLeftCell="A1">
      <selection activeCell="A5" sqref="A5:P6"/>
    </sheetView>
  </sheetViews>
  <sheetFormatPr defaultColWidth="9.00390625" defaultRowHeight="12.75"/>
  <cols>
    <col min="1" max="1" width="6.25390625" style="1" customWidth="1"/>
    <col min="2" max="2" width="10.875" style="1" hidden="1" customWidth="1"/>
    <col min="3" max="3" width="16.375" style="1" hidden="1" customWidth="1"/>
    <col min="4" max="4" width="16.625" style="1" hidden="1" customWidth="1"/>
    <col min="5" max="5" width="31.375" style="1" customWidth="1"/>
    <col min="6" max="6" width="10.375" style="1" customWidth="1"/>
    <col min="7" max="7" width="19.625" style="1" customWidth="1"/>
    <col min="8" max="8" width="12.75390625" style="1" customWidth="1"/>
    <col min="9" max="11" width="25.00390625" style="1" hidden="1" customWidth="1"/>
    <col min="12" max="12" width="17.75390625" style="1" customWidth="1"/>
    <col min="13" max="13" width="15.375" style="1" customWidth="1"/>
    <col min="14" max="14" width="16.625" style="1" customWidth="1"/>
    <col min="15" max="15" width="15.00390625" style="1" customWidth="1"/>
    <col min="16" max="16" width="18.375" style="1" customWidth="1"/>
    <col min="17" max="16384" width="9.125" style="1" customWidth="1"/>
  </cols>
  <sheetData>
    <row r="1" ht="12.75">
      <c r="P1" s="2" t="s">
        <v>0</v>
      </c>
    </row>
    <row r="2" ht="12.75">
      <c r="P2" s="2" t="s">
        <v>1</v>
      </c>
    </row>
    <row r="3" ht="12.75">
      <c r="P3" s="2" t="s">
        <v>2</v>
      </c>
    </row>
    <row r="5" spans="1:16" ht="12.75" customHeight="1">
      <c r="A5" s="34" t="s">
        <v>81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6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ht="13.5" thickBot="1"/>
    <row r="8" spans="1:16" ht="231" customHeight="1" thickBot="1">
      <c r="A8" s="3" t="s">
        <v>3</v>
      </c>
      <c r="B8" s="4" t="s">
        <v>4</v>
      </c>
      <c r="C8" s="5" t="s">
        <v>5</v>
      </c>
      <c r="D8" s="5" t="s">
        <v>6</v>
      </c>
      <c r="E8" s="5" t="s">
        <v>7</v>
      </c>
      <c r="F8" s="6" t="s">
        <v>8</v>
      </c>
      <c r="G8" s="7" t="s">
        <v>9</v>
      </c>
      <c r="H8" s="7" t="s">
        <v>10</v>
      </c>
      <c r="I8" s="6" t="s">
        <v>11</v>
      </c>
      <c r="J8" s="6" t="s">
        <v>12</v>
      </c>
      <c r="K8" s="6" t="s">
        <v>13</v>
      </c>
      <c r="L8" s="7" t="s">
        <v>14</v>
      </c>
      <c r="M8" s="6" t="s">
        <v>15</v>
      </c>
      <c r="N8" s="6" t="s">
        <v>16</v>
      </c>
      <c r="O8" s="6" t="s">
        <v>17</v>
      </c>
      <c r="P8" s="6" t="s">
        <v>18</v>
      </c>
    </row>
    <row r="9" spans="1:16" ht="12.75">
      <c r="A9" s="8">
        <v>1</v>
      </c>
      <c r="B9" s="9">
        <v>2</v>
      </c>
      <c r="C9" s="10">
        <v>3</v>
      </c>
      <c r="D9" s="8">
        <v>4</v>
      </c>
      <c r="E9" s="11">
        <v>5</v>
      </c>
      <c r="F9" s="8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8">
        <v>16</v>
      </c>
    </row>
    <row r="10" spans="1:16" ht="50.25" customHeight="1">
      <c r="A10" s="12">
        <v>1</v>
      </c>
      <c r="B10" s="13" t="s">
        <v>19</v>
      </c>
      <c r="C10" s="14" t="s">
        <v>20</v>
      </c>
      <c r="D10" s="12" t="s">
        <v>20</v>
      </c>
      <c r="E10" s="15" t="s">
        <v>21</v>
      </c>
      <c r="F10" s="35" t="s">
        <v>22</v>
      </c>
      <c r="G10" s="16">
        <f aca="true" t="shared" si="0" ref="G10:G41">H10+L10</f>
        <v>494.7029711706355</v>
      </c>
      <c r="H10" s="17">
        <f aca="true" t="shared" si="1" ref="H10:H50">SUM(I10:K10)</f>
        <v>328.331</v>
      </c>
      <c r="I10" s="18">
        <v>44.19200000000001</v>
      </c>
      <c r="J10" s="18">
        <v>124.65199999999999</v>
      </c>
      <c r="K10" s="18">
        <v>159.487</v>
      </c>
      <c r="L10" s="18">
        <f aca="true" t="shared" si="2" ref="L10:L41">M10+N10+O10</f>
        <v>166.3719711706355</v>
      </c>
      <c r="M10" s="19">
        <v>55.880583463167525</v>
      </c>
      <c r="N10" s="19">
        <f>152.707387707468-100</f>
        <v>52.707387707468</v>
      </c>
      <c r="O10" s="19">
        <f>135.784-78</f>
        <v>57.78399999999999</v>
      </c>
      <c r="P10" s="37" t="s">
        <v>23</v>
      </c>
    </row>
    <row r="11" spans="1:16" ht="37.5" customHeight="1">
      <c r="A11" s="12"/>
      <c r="B11" s="12"/>
      <c r="C11" s="12"/>
      <c r="D11" s="12"/>
      <c r="E11" s="15" t="s">
        <v>24</v>
      </c>
      <c r="F11" s="36"/>
      <c r="G11" s="16">
        <f t="shared" si="0"/>
        <v>4083.4599</v>
      </c>
      <c r="H11" s="17">
        <f t="shared" si="1"/>
        <v>582.4350000000001</v>
      </c>
      <c r="I11" s="18">
        <v>129.457</v>
      </c>
      <c r="J11" s="18">
        <v>379.338</v>
      </c>
      <c r="K11" s="18">
        <v>73.64</v>
      </c>
      <c r="L11" s="18">
        <f t="shared" si="2"/>
        <v>3501.0249</v>
      </c>
      <c r="M11" s="19">
        <v>505.64205</v>
      </c>
      <c r="N11" s="19">
        <v>1593.71393</v>
      </c>
      <c r="O11" s="19">
        <f>1388.46892+13.2</f>
        <v>1401.66892</v>
      </c>
      <c r="P11" s="38"/>
    </row>
    <row r="12" spans="1:16" ht="25.5" customHeight="1">
      <c r="A12" s="12"/>
      <c r="B12" s="12"/>
      <c r="C12" s="12"/>
      <c r="D12" s="12"/>
      <c r="E12" s="20" t="s">
        <v>25</v>
      </c>
      <c r="F12" s="36"/>
      <c r="G12" s="16">
        <f t="shared" si="0"/>
        <v>71.21213</v>
      </c>
      <c r="H12" s="17">
        <f t="shared" si="1"/>
        <v>31.874000000000002</v>
      </c>
      <c r="I12" s="18">
        <v>6.899</v>
      </c>
      <c r="J12" s="18">
        <v>6.064</v>
      </c>
      <c r="K12" s="18">
        <v>18.911</v>
      </c>
      <c r="L12" s="18">
        <f t="shared" si="2"/>
        <v>39.33813</v>
      </c>
      <c r="M12" s="19">
        <v>15.05483</v>
      </c>
      <c r="N12" s="19">
        <v>12.83998</v>
      </c>
      <c r="O12" s="19">
        <v>11.44332</v>
      </c>
      <c r="P12" s="38"/>
    </row>
    <row r="13" spans="1:16" ht="25.5" customHeight="1">
      <c r="A13" s="12"/>
      <c r="B13" s="12"/>
      <c r="C13" s="12"/>
      <c r="D13" s="12"/>
      <c r="E13" s="20" t="s">
        <v>26</v>
      </c>
      <c r="F13" s="36"/>
      <c r="G13" s="16">
        <f t="shared" si="0"/>
        <v>2251.3206600000003</v>
      </c>
      <c r="H13" s="17">
        <f t="shared" si="1"/>
        <v>1133.211</v>
      </c>
      <c r="I13" s="18">
        <v>389.584</v>
      </c>
      <c r="J13" s="18">
        <v>353.151</v>
      </c>
      <c r="K13" s="18">
        <v>390.476</v>
      </c>
      <c r="L13" s="18">
        <f t="shared" si="2"/>
        <v>1118.10966</v>
      </c>
      <c r="M13" s="19">
        <v>367.88128</v>
      </c>
      <c r="N13" s="19">
        <v>379.62851</v>
      </c>
      <c r="O13" s="19">
        <v>370.59987</v>
      </c>
      <c r="P13" s="38"/>
    </row>
    <row r="14" spans="1:16" ht="25.5" customHeight="1">
      <c r="A14" s="12"/>
      <c r="B14" s="12"/>
      <c r="C14" s="12"/>
      <c r="D14" s="12"/>
      <c r="E14" s="21" t="s">
        <v>27</v>
      </c>
      <c r="F14" s="36"/>
      <c r="G14" s="16">
        <f t="shared" si="0"/>
        <v>1232.4201082890686</v>
      </c>
      <c r="H14" s="17">
        <f t="shared" si="1"/>
        <v>647.979</v>
      </c>
      <c r="I14" s="18">
        <v>225.804</v>
      </c>
      <c r="J14" s="18">
        <v>214.886</v>
      </c>
      <c r="K14" s="18">
        <v>207.289</v>
      </c>
      <c r="L14" s="18">
        <f t="shared" si="2"/>
        <v>584.4411082890686</v>
      </c>
      <c r="M14" s="19">
        <v>200.9501699356205</v>
      </c>
      <c r="N14" s="19">
        <v>189.34925226595607</v>
      </c>
      <c r="O14" s="19">
        <f>195.243686087492-1.102</f>
        <v>194.141686087492</v>
      </c>
      <c r="P14" s="38"/>
    </row>
    <row r="15" spans="1:16" ht="25.5" customHeight="1">
      <c r="A15" s="12"/>
      <c r="B15" s="12"/>
      <c r="C15" s="12"/>
      <c r="D15" s="12"/>
      <c r="E15" s="21" t="s">
        <v>28</v>
      </c>
      <c r="F15" s="36"/>
      <c r="G15" s="16">
        <f t="shared" si="0"/>
        <v>26.170326155629873</v>
      </c>
      <c r="H15" s="17">
        <f t="shared" si="1"/>
        <v>14.597</v>
      </c>
      <c r="I15" s="18">
        <v>5.385</v>
      </c>
      <c r="J15" s="18">
        <v>4.937</v>
      </c>
      <c r="K15" s="18">
        <v>4.275</v>
      </c>
      <c r="L15" s="18">
        <f t="shared" si="2"/>
        <v>11.573326155629875</v>
      </c>
      <c r="M15" s="19">
        <v>3.710291065534351</v>
      </c>
      <c r="N15" s="19">
        <v>3.531027868660495</v>
      </c>
      <c r="O15" s="19">
        <f>4.39900722143503-0.067</f>
        <v>4.33200722143503</v>
      </c>
      <c r="P15" s="38"/>
    </row>
    <row r="16" spans="1:16" ht="25.5" customHeight="1">
      <c r="A16" s="12"/>
      <c r="B16" s="12"/>
      <c r="C16" s="12"/>
      <c r="D16" s="12"/>
      <c r="E16" s="22" t="s">
        <v>29</v>
      </c>
      <c r="F16" s="36"/>
      <c r="G16" s="16">
        <f t="shared" si="0"/>
        <v>2020.9401357793633</v>
      </c>
      <c r="H16" s="17">
        <f t="shared" si="1"/>
        <v>917.4459999999999</v>
      </c>
      <c r="I16" s="18">
        <v>340.581</v>
      </c>
      <c r="J16" s="18">
        <v>301.46</v>
      </c>
      <c r="K16" s="18">
        <v>275.405</v>
      </c>
      <c r="L16" s="18">
        <f t="shared" si="2"/>
        <v>1103.4941357793634</v>
      </c>
      <c r="M16" s="19">
        <v>336.66428268295084</v>
      </c>
      <c r="N16" s="19">
        <v>372.1445302664526</v>
      </c>
      <c r="O16" s="19">
        <f>395.26332282996-0.578</f>
        <v>394.68532282996</v>
      </c>
      <c r="P16" s="38"/>
    </row>
    <row r="17" spans="1:16" ht="25.5" customHeight="1">
      <c r="A17" s="12"/>
      <c r="B17" s="12"/>
      <c r="C17" s="12"/>
      <c r="D17" s="12"/>
      <c r="E17" s="22" t="s">
        <v>30</v>
      </c>
      <c r="F17" s="36"/>
      <c r="G17" s="16">
        <f t="shared" si="0"/>
        <v>241.12048821937464</v>
      </c>
      <c r="H17" s="17">
        <f t="shared" si="1"/>
        <v>57.959</v>
      </c>
      <c r="I17" s="18">
        <v>23.778</v>
      </c>
      <c r="J17" s="18">
        <v>26.980999999999998</v>
      </c>
      <c r="K17" s="18">
        <v>7.2</v>
      </c>
      <c r="L17" s="18">
        <f t="shared" si="2"/>
        <v>183.16148821937463</v>
      </c>
      <c r="M17" s="19">
        <v>51.726616250757985</v>
      </c>
      <c r="N17" s="19">
        <v>15.076603221315656</v>
      </c>
      <c r="O17" s="19">
        <f>112.426268747301+3.932</f>
        <v>116.358268747301</v>
      </c>
      <c r="P17" s="38"/>
    </row>
    <row r="18" spans="1:16" ht="38.25">
      <c r="A18" s="12"/>
      <c r="B18" s="12"/>
      <c r="C18" s="12"/>
      <c r="D18" s="12"/>
      <c r="E18" s="22" t="s">
        <v>31</v>
      </c>
      <c r="F18" s="36"/>
      <c r="G18" s="16">
        <f t="shared" si="0"/>
        <v>130.42</v>
      </c>
      <c r="H18" s="17">
        <f t="shared" si="1"/>
        <v>69.872</v>
      </c>
      <c r="I18" s="18">
        <v>13.83</v>
      </c>
      <c r="J18" s="18">
        <v>43.183</v>
      </c>
      <c r="K18" s="18">
        <v>12.859</v>
      </c>
      <c r="L18" s="18">
        <f t="shared" si="2"/>
        <v>60.547999999999995</v>
      </c>
      <c r="M18" s="19">
        <f>10.877+67.2-50</f>
        <v>28.076999999999998</v>
      </c>
      <c r="N18" s="19">
        <f>38.507+56.4-80</f>
        <v>14.906999999999996</v>
      </c>
      <c r="O18" s="19">
        <f>21.275+56.4-60.111</f>
        <v>17.564</v>
      </c>
      <c r="P18" s="38"/>
    </row>
    <row r="19" spans="1:16" ht="51">
      <c r="A19" s="12"/>
      <c r="B19" s="12"/>
      <c r="C19" s="12"/>
      <c r="D19" s="12"/>
      <c r="E19" s="23" t="s">
        <v>32</v>
      </c>
      <c r="F19" s="36"/>
      <c r="G19" s="16">
        <f t="shared" si="0"/>
        <v>484.3899560652863</v>
      </c>
      <c r="H19" s="17">
        <f t="shared" si="1"/>
        <v>238.38400000000001</v>
      </c>
      <c r="I19" s="18">
        <v>73.508</v>
      </c>
      <c r="J19" s="18">
        <v>102.015</v>
      </c>
      <c r="K19" s="18">
        <v>62.861000000000004</v>
      </c>
      <c r="L19" s="18">
        <f t="shared" si="2"/>
        <v>246.00595606528628</v>
      </c>
      <c r="M19" s="19">
        <v>63.95813639907966</v>
      </c>
      <c r="N19" s="19">
        <f>101.835-6.16-6.534</f>
        <v>89.14099999999999</v>
      </c>
      <c r="O19" s="19">
        <v>92.90681966620662</v>
      </c>
      <c r="P19" s="38"/>
    </row>
    <row r="20" spans="1:16" ht="25.5" customHeight="1">
      <c r="A20" s="12"/>
      <c r="B20" s="12"/>
      <c r="C20" s="12"/>
      <c r="D20" s="12"/>
      <c r="E20" s="23" t="s">
        <v>33</v>
      </c>
      <c r="F20" s="36"/>
      <c r="G20" s="16">
        <f t="shared" si="0"/>
        <v>27.950000000000003</v>
      </c>
      <c r="H20" s="17">
        <f t="shared" si="1"/>
        <v>9.926</v>
      </c>
      <c r="I20" s="18">
        <v>0</v>
      </c>
      <c r="J20" s="18">
        <v>9.926</v>
      </c>
      <c r="K20" s="18">
        <v>0</v>
      </c>
      <c r="L20" s="18">
        <f t="shared" si="2"/>
        <v>18.024</v>
      </c>
      <c r="M20" s="19">
        <v>0</v>
      </c>
      <c r="N20" s="19">
        <v>6.16</v>
      </c>
      <c r="O20" s="19">
        <v>11.864</v>
      </c>
      <c r="P20" s="38"/>
    </row>
    <row r="21" spans="1:16" ht="25.5">
      <c r="A21" s="12"/>
      <c r="B21" s="12"/>
      <c r="C21" s="12"/>
      <c r="D21" s="12"/>
      <c r="E21" s="23" t="s">
        <v>34</v>
      </c>
      <c r="F21" s="36"/>
      <c r="G21" s="16">
        <f t="shared" si="0"/>
        <v>0</v>
      </c>
      <c r="H21" s="17">
        <f t="shared" si="1"/>
        <v>0</v>
      </c>
      <c r="I21" s="18">
        <v>0</v>
      </c>
      <c r="J21" s="18">
        <v>0</v>
      </c>
      <c r="K21" s="18">
        <v>0</v>
      </c>
      <c r="L21" s="18">
        <f t="shared" si="2"/>
        <v>0</v>
      </c>
      <c r="M21" s="19">
        <v>0</v>
      </c>
      <c r="N21" s="19">
        <v>0</v>
      </c>
      <c r="O21" s="19">
        <v>0</v>
      </c>
      <c r="P21" s="38"/>
    </row>
    <row r="22" spans="1:16" ht="25.5">
      <c r="A22" s="12"/>
      <c r="B22" s="12"/>
      <c r="C22" s="12"/>
      <c r="D22" s="12"/>
      <c r="E22" s="23" t="s">
        <v>35</v>
      </c>
      <c r="F22" s="36"/>
      <c r="G22" s="16">
        <f t="shared" si="0"/>
        <v>650.6000584455288</v>
      </c>
      <c r="H22" s="17">
        <f t="shared" si="1"/>
        <v>537.634</v>
      </c>
      <c r="I22" s="18">
        <v>184.67</v>
      </c>
      <c r="J22" s="18">
        <v>167.523</v>
      </c>
      <c r="K22" s="18">
        <v>185.441</v>
      </c>
      <c r="L22" s="18">
        <f t="shared" si="2"/>
        <v>112.9660584455288</v>
      </c>
      <c r="M22" s="19">
        <f>102.819675766943-3.352</f>
        <v>99.467675766943</v>
      </c>
      <c r="N22" s="19">
        <v>8.069485725894275</v>
      </c>
      <c r="O22" s="19">
        <v>5.428896952691534</v>
      </c>
      <c r="P22" s="38"/>
    </row>
    <row r="23" spans="1:16" ht="25.5" customHeight="1">
      <c r="A23" s="12"/>
      <c r="B23" s="12"/>
      <c r="C23" s="12"/>
      <c r="D23" s="12"/>
      <c r="E23" s="23" t="s">
        <v>36</v>
      </c>
      <c r="F23" s="36"/>
      <c r="G23" s="16">
        <f t="shared" si="0"/>
        <v>423.35016654230037</v>
      </c>
      <c r="H23" s="17">
        <f t="shared" si="1"/>
        <v>195.423</v>
      </c>
      <c r="I23" s="18">
        <v>78.864</v>
      </c>
      <c r="J23" s="18">
        <v>57.617999999999995</v>
      </c>
      <c r="K23" s="18">
        <v>58.941</v>
      </c>
      <c r="L23" s="18">
        <f t="shared" si="2"/>
        <v>227.92716654230037</v>
      </c>
      <c r="M23" s="19">
        <v>79.94778307927625</v>
      </c>
      <c r="N23" s="19">
        <f>66.4516+1.349</f>
        <v>67.8006</v>
      </c>
      <c r="O23" s="19">
        <v>80.17878346302409</v>
      </c>
      <c r="P23" s="38"/>
    </row>
    <row r="24" spans="1:16" ht="25.5">
      <c r="A24" s="12"/>
      <c r="B24" s="12"/>
      <c r="C24" s="12"/>
      <c r="D24" s="12"/>
      <c r="E24" s="23" t="s">
        <v>37</v>
      </c>
      <c r="F24" s="36"/>
      <c r="G24" s="16">
        <f t="shared" si="0"/>
        <v>239.43998545059333</v>
      </c>
      <c r="H24" s="17">
        <f t="shared" si="1"/>
        <v>108.93700000000001</v>
      </c>
      <c r="I24" s="18">
        <v>57.20700000000001</v>
      </c>
      <c r="J24" s="18">
        <v>16.747</v>
      </c>
      <c r="K24" s="18">
        <v>34.983</v>
      </c>
      <c r="L24" s="18">
        <f t="shared" si="2"/>
        <v>130.50298545059331</v>
      </c>
      <c r="M24" s="19">
        <v>57.391529504106565</v>
      </c>
      <c r="N24" s="19">
        <v>8.808112597486767</v>
      </c>
      <c r="O24" s="19">
        <f>65.396343349-1.093</f>
        <v>64.303343349</v>
      </c>
      <c r="P24" s="38"/>
    </row>
    <row r="25" spans="1:16" ht="38.25">
      <c r="A25" s="12"/>
      <c r="B25" s="12"/>
      <c r="C25" s="12"/>
      <c r="D25" s="12"/>
      <c r="E25" s="23" t="s">
        <v>38</v>
      </c>
      <c r="F25" s="36"/>
      <c r="G25" s="16">
        <f t="shared" si="0"/>
        <v>97.4167410056183</v>
      </c>
      <c r="H25" s="17">
        <f t="shared" si="1"/>
        <v>71.017</v>
      </c>
      <c r="I25" s="18">
        <v>16.544</v>
      </c>
      <c r="J25" s="18">
        <v>22.081</v>
      </c>
      <c r="K25" s="18">
        <v>32.392</v>
      </c>
      <c r="L25" s="18">
        <f t="shared" si="2"/>
        <v>26.39974100561831</v>
      </c>
      <c r="M25" s="19">
        <v>15.705</v>
      </c>
      <c r="N25" s="19">
        <v>7.662</v>
      </c>
      <c r="O25" s="19">
        <v>3.0327410056183095</v>
      </c>
      <c r="P25" s="38"/>
    </row>
    <row r="26" spans="1:16" ht="25.5" customHeight="1">
      <c r="A26" s="12"/>
      <c r="B26" s="12"/>
      <c r="C26" s="12"/>
      <c r="D26" s="12"/>
      <c r="E26" s="23" t="s">
        <v>39</v>
      </c>
      <c r="F26" s="36"/>
      <c r="G26" s="16">
        <f t="shared" si="0"/>
        <v>1094.669</v>
      </c>
      <c r="H26" s="17">
        <f t="shared" si="1"/>
        <v>556.402</v>
      </c>
      <c r="I26" s="18">
        <v>187.154</v>
      </c>
      <c r="J26" s="18">
        <v>186.37</v>
      </c>
      <c r="K26" s="18">
        <v>182.878</v>
      </c>
      <c r="L26" s="18">
        <f t="shared" si="2"/>
        <v>538.267</v>
      </c>
      <c r="M26" s="24">
        <v>181.996</v>
      </c>
      <c r="N26" s="24">
        <v>179.809</v>
      </c>
      <c r="O26" s="24">
        <v>176.462</v>
      </c>
      <c r="P26" s="38"/>
    </row>
    <row r="27" spans="1:16" ht="25.5" customHeight="1">
      <c r="A27" s="12"/>
      <c r="B27" s="12"/>
      <c r="C27" s="12"/>
      <c r="D27" s="12"/>
      <c r="E27" s="23" t="s">
        <v>40</v>
      </c>
      <c r="F27" s="36"/>
      <c r="G27" s="16">
        <f t="shared" si="0"/>
        <v>2241.259818909576</v>
      </c>
      <c r="H27" s="17">
        <f t="shared" si="1"/>
        <v>1167.732</v>
      </c>
      <c r="I27" s="18">
        <v>395.611</v>
      </c>
      <c r="J27" s="18">
        <v>390.63</v>
      </c>
      <c r="K27" s="18">
        <v>381.49100000000004</v>
      </c>
      <c r="L27" s="18">
        <f t="shared" si="2"/>
        <v>1073.527818909576</v>
      </c>
      <c r="M27" s="24">
        <f>971.596818909576-600</f>
        <v>371.596818909576</v>
      </c>
      <c r="N27" s="24">
        <f>971.65-608</f>
        <v>363.65</v>
      </c>
      <c r="O27" s="24">
        <f>978.521-640.24</f>
        <v>338.28099999999995</v>
      </c>
      <c r="P27" s="38"/>
    </row>
    <row r="28" spans="1:16" ht="38.25">
      <c r="A28" s="12"/>
      <c r="B28" s="12"/>
      <c r="C28" s="12"/>
      <c r="D28" s="12"/>
      <c r="E28" s="20" t="s">
        <v>41</v>
      </c>
      <c r="F28" s="36"/>
      <c r="G28" s="16">
        <f t="shared" si="0"/>
        <v>34.001</v>
      </c>
      <c r="H28" s="17">
        <f t="shared" si="1"/>
        <v>17</v>
      </c>
      <c r="I28" s="18">
        <v>5.666</v>
      </c>
      <c r="J28" s="18">
        <v>5.667</v>
      </c>
      <c r="K28" s="18">
        <v>5.667</v>
      </c>
      <c r="L28" s="18">
        <f t="shared" si="2"/>
        <v>17.000999999999998</v>
      </c>
      <c r="M28" s="18">
        <v>5.667</v>
      </c>
      <c r="N28" s="18">
        <v>5.667</v>
      </c>
      <c r="O28" s="18">
        <v>5.667</v>
      </c>
      <c r="P28" s="38"/>
    </row>
    <row r="29" spans="1:16" ht="25.5" customHeight="1">
      <c r="A29" s="12"/>
      <c r="B29" s="12"/>
      <c r="C29" s="12"/>
      <c r="D29" s="12"/>
      <c r="E29" s="21" t="s">
        <v>42</v>
      </c>
      <c r="F29" s="36"/>
      <c r="G29" s="16">
        <f t="shared" si="0"/>
        <v>10.643</v>
      </c>
      <c r="H29" s="17">
        <f t="shared" si="1"/>
        <v>5.321</v>
      </c>
      <c r="I29" s="18">
        <v>1.774</v>
      </c>
      <c r="J29" s="18">
        <v>1.774</v>
      </c>
      <c r="K29" s="18">
        <v>1.773</v>
      </c>
      <c r="L29" s="18">
        <f t="shared" si="2"/>
        <v>5.322</v>
      </c>
      <c r="M29" s="18">
        <v>1.774</v>
      </c>
      <c r="N29" s="18">
        <v>1.774</v>
      </c>
      <c r="O29" s="18">
        <v>1.774</v>
      </c>
      <c r="P29" s="38"/>
    </row>
    <row r="30" spans="1:16" ht="25.5" customHeight="1">
      <c r="A30" s="12"/>
      <c r="B30" s="12"/>
      <c r="C30" s="12"/>
      <c r="D30" s="12"/>
      <c r="E30" s="21" t="s">
        <v>43</v>
      </c>
      <c r="F30" s="36"/>
      <c r="G30" s="16">
        <f t="shared" si="0"/>
        <v>120.550579381</v>
      </c>
      <c r="H30" s="17">
        <f t="shared" si="1"/>
        <v>61.343</v>
      </c>
      <c r="I30" s="18">
        <v>22.595</v>
      </c>
      <c r="J30" s="18">
        <v>21.558</v>
      </c>
      <c r="K30" s="18">
        <v>17.19</v>
      </c>
      <c r="L30" s="18">
        <f t="shared" si="2"/>
        <v>59.207579381</v>
      </c>
      <c r="M30" s="19">
        <f>25.943313881-6.841</f>
        <v>19.102313881</v>
      </c>
      <c r="N30" s="19">
        <f>26.83395-6.841</f>
        <v>19.99295</v>
      </c>
      <c r="O30" s="19">
        <f>26.9543155-6.842</f>
        <v>20.1123155</v>
      </c>
      <c r="P30" s="38"/>
    </row>
    <row r="31" spans="1:16" ht="25.5">
      <c r="A31" s="12"/>
      <c r="B31" s="12"/>
      <c r="C31" s="12"/>
      <c r="D31" s="12"/>
      <c r="E31" s="21" t="s">
        <v>44</v>
      </c>
      <c r="F31" s="36"/>
      <c r="G31" s="16">
        <f t="shared" si="0"/>
        <v>19.309189570082864</v>
      </c>
      <c r="H31" s="17">
        <f t="shared" si="1"/>
        <v>9.889</v>
      </c>
      <c r="I31" s="18">
        <v>3.383</v>
      </c>
      <c r="J31" s="18">
        <v>3.315</v>
      </c>
      <c r="K31" s="18">
        <v>3.191</v>
      </c>
      <c r="L31" s="18">
        <f t="shared" si="2"/>
        <v>9.420189570082867</v>
      </c>
      <c r="M31" s="19">
        <v>3.22</v>
      </c>
      <c r="N31" s="19">
        <v>3.110600333312783</v>
      </c>
      <c r="O31" s="19">
        <v>3.089589236770084</v>
      </c>
      <c r="P31" s="38"/>
    </row>
    <row r="32" spans="1:16" ht="25.5" customHeight="1">
      <c r="A32" s="12"/>
      <c r="B32" s="12"/>
      <c r="C32" s="12"/>
      <c r="D32" s="12"/>
      <c r="E32" s="23" t="s">
        <v>45</v>
      </c>
      <c r="F32" s="36"/>
      <c r="G32" s="16">
        <f t="shared" si="0"/>
        <v>3.8899999999999997</v>
      </c>
      <c r="H32" s="17">
        <f t="shared" si="1"/>
        <v>2.288</v>
      </c>
      <c r="I32" s="18">
        <v>0</v>
      </c>
      <c r="J32" s="18">
        <v>2.288</v>
      </c>
      <c r="K32" s="18">
        <v>0</v>
      </c>
      <c r="L32" s="18">
        <f t="shared" si="2"/>
        <v>1.602</v>
      </c>
      <c r="M32" s="24"/>
      <c r="N32" s="25">
        <v>1.602</v>
      </c>
      <c r="O32" s="25"/>
      <c r="P32" s="38"/>
    </row>
    <row r="33" spans="1:16" ht="25.5">
      <c r="A33" s="12"/>
      <c r="B33" s="12"/>
      <c r="C33" s="12"/>
      <c r="D33" s="12"/>
      <c r="E33" s="23" t="s">
        <v>46</v>
      </c>
      <c r="F33" s="36"/>
      <c r="G33" s="16">
        <f t="shared" si="0"/>
        <v>117.46691999999999</v>
      </c>
      <c r="H33" s="17">
        <f t="shared" si="1"/>
        <v>46.957</v>
      </c>
      <c r="I33" s="18">
        <v>0</v>
      </c>
      <c r="J33" s="18">
        <v>0</v>
      </c>
      <c r="K33" s="18">
        <v>46.957</v>
      </c>
      <c r="L33" s="18">
        <f t="shared" si="2"/>
        <v>70.50992</v>
      </c>
      <c r="M33" s="24">
        <v>2.18051</v>
      </c>
      <c r="N33" s="24">
        <v>0</v>
      </c>
      <c r="O33" s="24">
        <v>68.32941</v>
      </c>
      <c r="P33" s="38"/>
    </row>
    <row r="34" spans="1:16" ht="25.5">
      <c r="A34" s="12"/>
      <c r="B34" s="12"/>
      <c r="C34" s="12"/>
      <c r="D34" s="12"/>
      <c r="E34" s="23" t="s">
        <v>47</v>
      </c>
      <c r="F34" s="36"/>
      <c r="G34" s="16">
        <f t="shared" si="0"/>
        <v>284.4402737935854</v>
      </c>
      <c r="H34" s="17">
        <f t="shared" si="1"/>
        <v>192.666</v>
      </c>
      <c r="I34" s="18">
        <v>120.45100000000001</v>
      </c>
      <c r="J34" s="18">
        <v>19.378</v>
      </c>
      <c r="K34" s="18">
        <v>52.837</v>
      </c>
      <c r="L34" s="18">
        <f t="shared" si="2"/>
        <v>91.7742737935854</v>
      </c>
      <c r="M34" s="24">
        <v>10.073273793585399</v>
      </c>
      <c r="N34" s="24">
        <v>0</v>
      </c>
      <c r="O34" s="24">
        <v>81.701</v>
      </c>
      <c r="P34" s="38"/>
    </row>
    <row r="35" spans="1:16" ht="25.5">
      <c r="A35" s="12"/>
      <c r="B35" s="12"/>
      <c r="C35" s="12"/>
      <c r="D35" s="12"/>
      <c r="E35" s="20" t="s">
        <v>48</v>
      </c>
      <c r="F35" s="36"/>
      <c r="G35" s="16">
        <f t="shared" si="0"/>
        <v>164.3325</v>
      </c>
      <c r="H35" s="17">
        <f t="shared" si="1"/>
        <v>0</v>
      </c>
      <c r="I35" s="18">
        <v>0</v>
      </c>
      <c r="J35" s="18">
        <v>0</v>
      </c>
      <c r="K35" s="18">
        <v>0</v>
      </c>
      <c r="L35" s="18">
        <f t="shared" si="2"/>
        <v>164.3325</v>
      </c>
      <c r="M35" s="19">
        <v>0</v>
      </c>
      <c r="N35" s="19">
        <v>0</v>
      </c>
      <c r="O35" s="19">
        <v>164.3325</v>
      </c>
      <c r="P35" s="38"/>
    </row>
    <row r="36" spans="1:16" ht="25.5" customHeight="1">
      <c r="A36" s="12"/>
      <c r="B36" s="12"/>
      <c r="C36" s="12"/>
      <c r="D36" s="12"/>
      <c r="E36" s="20" t="s">
        <v>49</v>
      </c>
      <c r="F36" s="36"/>
      <c r="G36" s="16">
        <f t="shared" si="0"/>
        <v>397.7496461178536</v>
      </c>
      <c r="H36" s="17">
        <f t="shared" si="1"/>
        <v>194.332</v>
      </c>
      <c r="I36" s="18">
        <v>70.27</v>
      </c>
      <c r="J36" s="18">
        <v>60.175</v>
      </c>
      <c r="K36" s="18">
        <v>63.88699999999999</v>
      </c>
      <c r="L36" s="18">
        <f t="shared" si="2"/>
        <v>203.41764611785362</v>
      </c>
      <c r="M36" s="19">
        <v>73.39125574651577</v>
      </c>
      <c r="N36" s="19">
        <v>61.93163164533215</v>
      </c>
      <c r="O36" s="19">
        <f>67.2857587260057+0.809</f>
        <v>68.0947587260057</v>
      </c>
      <c r="P36" s="38"/>
    </row>
    <row r="37" spans="1:16" ht="25.5" customHeight="1">
      <c r="A37" s="12"/>
      <c r="B37" s="12"/>
      <c r="C37" s="12"/>
      <c r="D37" s="12"/>
      <c r="E37" s="20" t="s">
        <v>50</v>
      </c>
      <c r="F37" s="36"/>
      <c r="G37" s="16">
        <f t="shared" si="0"/>
        <v>1244.669787863324</v>
      </c>
      <c r="H37" s="17">
        <f t="shared" si="1"/>
        <v>635.111</v>
      </c>
      <c r="I37" s="18">
        <v>216.56900000000002</v>
      </c>
      <c r="J37" s="18">
        <v>215.46599999999998</v>
      </c>
      <c r="K37" s="18">
        <v>203.076</v>
      </c>
      <c r="L37" s="18">
        <f t="shared" si="2"/>
        <v>609.5587878633239</v>
      </c>
      <c r="M37" s="19">
        <v>194.2022895097159</v>
      </c>
      <c r="N37" s="19">
        <v>196.21560396218794</v>
      </c>
      <c r="O37" s="19">
        <f>218.00289439142+1.138</f>
        <v>219.14089439142</v>
      </c>
      <c r="P37" s="38"/>
    </row>
    <row r="38" spans="1:16" ht="25.5">
      <c r="A38" s="12"/>
      <c r="B38" s="12"/>
      <c r="C38" s="12"/>
      <c r="D38" s="12"/>
      <c r="E38" s="21" t="s">
        <v>51</v>
      </c>
      <c r="F38" s="36"/>
      <c r="G38" s="16">
        <f t="shared" si="0"/>
        <v>259.3304781212393</v>
      </c>
      <c r="H38" s="17">
        <f t="shared" si="1"/>
        <v>126.745</v>
      </c>
      <c r="I38" s="18">
        <v>54.176</v>
      </c>
      <c r="J38" s="18">
        <v>36.695</v>
      </c>
      <c r="K38" s="18">
        <v>35.873999999999995</v>
      </c>
      <c r="L38" s="18">
        <f t="shared" si="2"/>
        <v>132.5854781212393</v>
      </c>
      <c r="M38" s="19">
        <v>66.15402092665376</v>
      </c>
      <c r="N38" s="19">
        <v>20.56895279458555</v>
      </c>
      <c r="O38" s="19">
        <f>49.0975044-3.235</f>
        <v>45.8625044</v>
      </c>
      <c r="P38" s="38"/>
    </row>
    <row r="39" spans="1:16" ht="25.5">
      <c r="A39" s="12"/>
      <c r="B39" s="12"/>
      <c r="C39" s="12"/>
      <c r="D39" s="12"/>
      <c r="E39" s="21" t="s">
        <v>52</v>
      </c>
      <c r="F39" s="36"/>
      <c r="G39" s="16">
        <f t="shared" si="0"/>
        <v>0.997</v>
      </c>
      <c r="H39" s="17">
        <f t="shared" si="1"/>
        <v>0.997</v>
      </c>
      <c r="I39" s="18">
        <v>0</v>
      </c>
      <c r="J39" s="18">
        <v>0.253</v>
      </c>
      <c r="K39" s="18">
        <v>0.744</v>
      </c>
      <c r="L39" s="18">
        <f t="shared" si="2"/>
        <v>0</v>
      </c>
      <c r="M39" s="19">
        <v>0</v>
      </c>
      <c r="N39" s="19">
        <v>0</v>
      </c>
      <c r="O39" s="19">
        <v>0</v>
      </c>
      <c r="P39" s="38"/>
    </row>
    <row r="40" spans="1:16" ht="25.5" customHeight="1">
      <c r="A40" s="12"/>
      <c r="B40" s="12"/>
      <c r="C40" s="12"/>
      <c r="D40" s="12"/>
      <c r="E40" s="21" t="s">
        <v>53</v>
      </c>
      <c r="F40" s="36"/>
      <c r="G40" s="16">
        <f t="shared" si="0"/>
        <v>190.189853727713</v>
      </c>
      <c r="H40" s="17">
        <f t="shared" si="1"/>
        <v>0</v>
      </c>
      <c r="I40" s="18">
        <v>0</v>
      </c>
      <c r="J40" s="18">
        <v>0</v>
      </c>
      <c r="K40" s="18">
        <v>0</v>
      </c>
      <c r="L40" s="18">
        <f t="shared" si="2"/>
        <v>190.189853727713</v>
      </c>
      <c r="M40" s="19">
        <f>202.946853727713-12.757</f>
        <v>190.189853727713</v>
      </c>
      <c r="N40" s="19"/>
      <c r="O40" s="19"/>
      <c r="P40" s="38"/>
    </row>
    <row r="41" spans="1:16" ht="25.5" customHeight="1">
      <c r="A41" s="12"/>
      <c r="B41" s="12"/>
      <c r="C41" s="12"/>
      <c r="D41" s="12"/>
      <c r="E41" s="21" t="s">
        <v>54</v>
      </c>
      <c r="F41" s="36"/>
      <c r="G41" s="16">
        <f t="shared" si="0"/>
        <v>948.660429113235</v>
      </c>
      <c r="H41" s="17">
        <f t="shared" si="1"/>
        <v>447.312</v>
      </c>
      <c r="I41" s="18">
        <v>67.01100000000001</v>
      </c>
      <c r="J41" s="18">
        <v>189.738</v>
      </c>
      <c r="K41" s="18">
        <v>190.563</v>
      </c>
      <c r="L41" s="18">
        <f t="shared" si="2"/>
        <v>501.34842911323494</v>
      </c>
      <c r="M41" s="19">
        <f>83.593259113235+83.3</f>
        <v>166.893259113235</v>
      </c>
      <c r="N41" s="19">
        <f>127.1976+83.3</f>
        <v>210.49759999999998</v>
      </c>
      <c r="O41" s="19">
        <f>40.69657+83.261</f>
        <v>123.95757</v>
      </c>
      <c r="P41" s="38"/>
    </row>
    <row r="42" spans="1:16" ht="38.25">
      <c r="A42" s="12"/>
      <c r="B42" s="12"/>
      <c r="C42" s="12"/>
      <c r="D42" s="12"/>
      <c r="E42" s="21" t="s">
        <v>55</v>
      </c>
      <c r="F42" s="36"/>
      <c r="G42" s="16">
        <f aca="true" t="shared" si="3" ref="G42:G64">H42+L42</f>
        <v>172.14959699999997</v>
      </c>
      <c r="H42" s="17">
        <f t="shared" si="1"/>
        <v>48.146</v>
      </c>
      <c r="I42" s="18">
        <v>8.085</v>
      </c>
      <c r="J42" s="18">
        <v>20.88</v>
      </c>
      <c r="K42" s="18">
        <v>19.181</v>
      </c>
      <c r="L42" s="18">
        <f aca="true" t="shared" si="4" ref="L42:L64">M42+N42+O42</f>
        <v>124.00359699999998</v>
      </c>
      <c r="M42" s="19">
        <f>16.98865+25</f>
        <v>41.98865</v>
      </c>
      <c r="N42" s="19">
        <f>14.112397+25</f>
        <v>39.112397</v>
      </c>
      <c r="O42" s="19">
        <f>15.28155+27.621</f>
        <v>42.90255</v>
      </c>
      <c r="P42" s="38"/>
    </row>
    <row r="43" spans="1:16" ht="25.5">
      <c r="A43" s="12"/>
      <c r="B43" s="12"/>
      <c r="C43" s="12"/>
      <c r="D43" s="12"/>
      <c r="E43" s="21" t="s">
        <v>56</v>
      </c>
      <c r="F43" s="36"/>
      <c r="G43" s="16">
        <f t="shared" si="3"/>
        <v>59.11015372550705</v>
      </c>
      <c r="H43" s="17">
        <f t="shared" si="1"/>
        <v>36.19500000000001</v>
      </c>
      <c r="I43" s="18">
        <v>0</v>
      </c>
      <c r="J43" s="18">
        <v>1.176</v>
      </c>
      <c r="K43" s="18">
        <v>35.019000000000005</v>
      </c>
      <c r="L43" s="18">
        <f t="shared" si="4"/>
        <v>22.91515372550704</v>
      </c>
      <c r="M43" s="19">
        <v>0.5136132219072375</v>
      </c>
      <c r="N43" s="19">
        <v>3.5832140285998006</v>
      </c>
      <c r="O43" s="19">
        <f>22.558326475-3.74</f>
        <v>18.818326475</v>
      </c>
      <c r="P43" s="38"/>
    </row>
    <row r="44" spans="1:16" ht="25.5">
      <c r="A44" s="12"/>
      <c r="B44" s="12"/>
      <c r="C44" s="12"/>
      <c r="D44" s="12"/>
      <c r="E44" s="21" t="s">
        <v>57</v>
      </c>
      <c r="F44" s="36"/>
      <c r="G44" s="16">
        <f t="shared" si="3"/>
        <v>84.8997422465171</v>
      </c>
      <c r="H44" s="17">
        <f t="shared" si="1"/>
        <v>43.063</v>
      </c>
      <c r="I44" s="18">
        <v>20.131</v>
      </c>
      <c r="J44" s="18">
        <v>14.593</v>
      </c>
      <c r="K44" s="18">
        <v>8.339</v>
      </c>
      <c r="L44" s="18">
        <f t="shared" si="4"/>
        <v>41.836742246517105</v>
      </c>
      <c r="M44" s="19">
        <v>7.28057120600746</v>
      </c>
      <c r="N44" s="19">
        <v>9.387838460509649</v>
      </c>
      <c r="O44" s="19">
        <f>26.27933258-1.111</f>
        <v>25.168332579999998</v>
      </c>
      <c r="P44" s="38"/>
    </row>
    <row r="45" spans="1:16" ht="25.5" customHeight="1">
      <c r="A45" s="12"/>
      <c r="B45" s="12"/>
      <c r="C45" s="12"/>
      <c r="D45" s="12"/>
      <c r="E45" s="21" t="s">
        <v>58</v>
      </c>
      <c r="F45" s="36"/>
      <c r="G45" s="16">
        <f t="shared" si="3"/>
        <v>29.318999999999996</v>
      </c>
      <c r="H45" s="17">
        <f t="shared" si="1"/>
        <v>14.960999999999999</v>
      </c>
      <c r="I45" s="18">
        <v>5.072</v>
      </c>
      <c r="J45" s="18">
        <v>5.064</v>
      </c>
      <c r="K45" s="18">
        <v>4.825</v>
      </c>
      <c r="L45" s="18">
        <f t="shared" si="4"/>
        <v>14.357999999999999</v>
      </c>
      <c r="M45" s="19">
        <v>4.786</v>
      </c>
      <c r="N45" s="19">
        <v>4.786</v>
      </c>
      <c r="O45" s="19">
        <v>4.786</v>
      </c>
      <c r="P45" s="38"/>
    </row>
    <row r="46" spans="1:16" ht="25.5" customHeight="1">
      <c r="A46" s="12"/>
      <c r="B46" s="12"/>
      <c r="C46" s="12"/>
      <c r="E46" s="12" t="s">
        <v>59</v>
      </c>
      <c r="F46" s="36"/>
      <c r="G46" s="16">
        <f t="shared" si="3"/>
        <v>174.54399999999998</v>
      </c>
      <c r="H46" s="17">
        <f t="shared" si="1"/>
        <v>85.788</v>
      </c>
      <c r="I46" s="18">
        <v>0</v>
      </c>
      <c r="J46" s="18">
        <v>0</v>
      </c>
      <c r="K46" s="18">
        <v>85.788</v>
      </c>
      <c r="L46" s="18">
        <f t="shared" si="4"/>
        <v>88.756</v>
      </c>
      <c r="M46" s="26">
        <v>53.421</v>
      </c>
      <c r="N46" s="26"/>
      <c r="O46" s="26">
        <f>30.732+4.603</f>
        <v>35.335</v>
      </c>
      <c r="P46" s="38"/>
    </row>
    <row r="47" spans="1:16" ht="25.5" customHeight="1">
      <c r="A47" s="12"/>
      <c r="B47" s="12"/>
      <c r="C47" s="12"/>
      <c r="D47" s="12"/>
      <c r="E47" s="21" t="s">
        <v>60</v>
      </c>
      <c r="F47" s="36"/>
      <c r="G47" s="16">
        <f t="shared" si="3"/>
        <v>156.78</v>
      </c>
      <c r="H47" s="17">
        <f t="shared" si="1"/>
        <v>0</v>
      </c>
      <c r="I47" s="18">
        <v>0</v>
      </c>
      <c r="J47" s="18">
        <v>0</v>
      </c>
      <c r="K47" s="18">
        <v>0</v>
      </c>
      <c r="L47" s="18">
        <f t="shared" si="4"/>
        <v>156.78</v>
      </c>
      <c r="M47" s="18">
        <v>58.052</v>
      </c>
      <c r="N47" s="18">
        <f>22.881+5.085</f>
        <v>27.966</v>
      </c>
      <c r="O47" s="18">
        <f>67.796+2.966</f>
        <v>70.762</v>
      </c>
      <c r="P47" s="38"/>
    </row>
    <row r="48" spans="1:16" ht="25.5" customHeight="1">
      <c r="A48" s="12"/>
      <c r="B48" s="12"/>
      <c r="C48" s="12"/>
      <c r="D48" s="12"/>
      <c r="E48" s="21" t="s">
        <v>61</v>
      </c>
      <c r="F48" s="36"/>
      <c r="G48" s="16">
        <f t="shared" si="3"/>
        <v>0</v>
      </c>
      <c r="H48" s="17">
        <f t="shared" si="1"/>
        <v>0</v>
      </c>
      <c r="I48" s="18">
        <v>0</v>
      </c>
      <c r="J48" s="18">
        <v>0</v>
      </c>
      <c r="K48" s="18">
        <v>0</v>
      </c>
      <c r="L48" s="18">
        <f t="shared" si="4"/>
        <v>0</v>
      </c>
      <c r="M48" s="18">
        <v>0</v>
      </c>
      <c r="N48" s="18"/>
      <c r="O48" s="18"/>
      <c r="P48" s="38"/>
    </row>
    <row r="49" spans="1:16" ht="25.5">
      <c r="A49" s="12"/>
      <c r="B49" s="12"/>
      <c r="C49" s="12"/>
      <c r="D49" s="12"/>
      <c r="E49" s="21" t="s">
        <v>62</v>
      </c>
      <c r="F49" s="36"/>
      <c r="G49" s="16">
        <f t="shared" si="3"/>
        <v>0</v>
      </c>
      <c r="H49" s="17">
        <f t="shared" si="1"/>
        <v>0</v>
      </c>
      <c r="I49" s="18">
        <v>0</v>
      </c>
      <c r="J49" s="18">
        <v>0</v>
      </c>
      <c r="K49" s="18">
        <v>0</v>
      </c>
      <c r="L49" s="18">
        <f t="shared" si="4"/>
        <v>0</v>
      </c>
      <c r="M49" s="18">
        <v>0</v>
      </c>
      <c r="N49" s="18"/>
      <c r="O49" s="18"/>
      <c r="P49" s="38"/>
    </row>
    <row r="50" spans="1:16" ht="38.25">
      <c r="A50" s="12"/>
      <c r="B50" s="12"/>
      <c r="C50" s="12"/>
      <c r="D50" s="12"/>
      <c r="E50" s="21" t="s">
        <v>63</v>
      </c>
      <c r="F50" s="36"/>
      <c r="G50" s="16">
        <f t="shared" si="3"/>
        <v>15.846</v>
      </c>
      <c r="H50" s="17">
        <f t="shared" si="1"/>
        <v>6.858</v>
      </c>
      <c r="I50" s="18">
        <v>2.542</v>
      </c>
      <c r="J50" s="18">
        <v>1.946</v>
      </c>
      <c r="K50" s="18">
        <v>2.37</v>
      </c>
      <c r="L50" s="18">
        <f t="shared" si="4"/>
        <v>8.988</v>
      </c>
      <c r="M50" s="18">
        <v>1.753</v>
      </c>
      <c r="N50" s="18"/>
      <c r="O50" s="18">
        <v>7.235</v>
      </c>
      <c r="P50" s="38"/>
    </row>
    <row r="51" spans="1:16" ht="28.5" customHeight="1">
      <c r="A51" s="12"/>
      <c r="B51" s="12"/>
      <c r="C51" s="12"/>
      <c r="D51" s="12"/>
      <c r="E51" s="21" t="s">
        <v>64</v>
      </c>
      <c r="F51" s="36"/>
      <c r="G51" s="16">
        <f t="shared" si="3"/>
        <v>50.269999999999996</v>
      </c>
      <c r="H51" s="17"/>
      <c r="I51" s="18"/>
      <c r="J51" s="18"/>
      <c r="K51" s="18"/>
      <c r="L51" s="18">
        <f t="shared" si="4"/>
        <v>50.269999999999996</v>
      </c>
      <c r="M51" s="18">
        <v>0</v>
      </c>
      <c r="N51" s="18">
        <v>28.897</v>
      </c>
      <c r="O51" s="18">
        <v>21.373</v>
      </c>
      <c r="P51" s="38"/>
    </row>
    <row r="52" spans="1:16" ht="25.5">
      <c r="A52" s="12"/>
      <c r="B52" s="12"/>
      <c r="C52" s="12"/>
      <c r="D52" s="12"/>
      <c r="E52" s="21" t="s">
        <v>65</v>
      </c>
      <c r="F52" s="36"/>
      <c r="G52" s="16">
        <f t="shared" si="3"/>
        <v>50.95</v>
      </c>
      <c r="H52" s="17">
        <f aca="true" t="shared" si="5" ref="H52:H64">SUM(I52:K52)</f>
        <v>50.95</v>
      </c>
      <c r="I52" s="18">
        <v>0</v>
      </c>
      <c r="J52" s="18">
        <v>7.323</v>
      </c>
      <c r="K52" s="18">
        <v>43.627</v>
      </c>
      <c r="L52" s="18">
        <f t="shared" si="4"/>
        <v>0</v>
      </c>
      <c r="M52" s="18"/>
      <c r="N52" s="18"/>
      <c r="O52" s="18"/>
      <c r="P52" s="38"/>
    </row>
    <row r="53" spans="1:16" ht="25.5">
      <c r="A53" s="12"/>
      <c r="B53" s="12"/>
      <c r="C53" s="12"/>
      <c r="D53" s="12"/>
      <c r="E53" s="21" t="s">
        <v>66</v>
      </c>
      <c r="F53" s="36"/>
      <c r="G53" s="16">
        <f t="shared" si="3"/>
        <v>439.93956329025156</v>
      </c>
      <c r="H53" s="17">
        <f t="shared" si="5"/>
        <v>145.615</v>
      </c>
      <c r="I53" s="18">
        <v>41.183</v>
      </c>
      <c r="J53" s="18">
        <v>63.137</v>
      </c>
      <c r="K53" s="18">
        <v>41.295</v>
      </c>
      <c r="L53" s="18">
        <f t="shared" si="4"/>
        <v>294.32456329025155</v>
      </c>
      <c r="M53" s="19">
        <v>58.23299978813132</v>
      </c>
      <c r="N53" s="19">
        <f>192.057507900583-0.752</f>
        <v>191.305507900583</v>
      </c>
      <c r="O53" s="19">
        <v>44.78605560153723</v>
      </c>
      <c r="P53" s="38"/>
    </row>
    <row r="54" spans="1:16" ht="25.5">
      <c r="A54" s="12"/>
      <c r="B54" s="12"/>
      <c r="C54" s="12"/>
      <c r="D54" s="12"/>
      <c r="E54" s="21" t="s">
        <v>67</v>
      </c>
      <c r="F54" s="36"/>
      <c r="G54" s="16">
        <f t="shared" si="3"/>
        <v>545.5200513510445</v>
      </c>
      <c r="H54" s="17">
        <f t="shared" si="5"/>
        <v>227.54000000000002</v>
      </c>
      <c r="I54" s="18">
        <v>79.81400000000001</v>
      </c>
      <c r="J54" s="18">
        <v>98.346</v>
      </c>
      <c r="K54" s="18">
        <v>49.38</v>
      </c>
      <c r="L54" s="18">
        <f t="shared" si="4"/>
        <v>317.9800513510444</v>
      </c>
      <c r="M54" s="19">
        <v>117.6789849639906</v>
      </c>
      <c r="N54" s="19">
        <v>100.92168538705374</v>
      </c>
      <c r="O54" s="19">
        <f>95.592381+3.787</f>
        <v>99.37938100000001</v>
      </c>
      <c r="P54" s="38"/>
    </row>
    <row r="55" spans="1:16" ht="25.5" customHeight="1">
      <c r="A55" s="12"/>
      <c r="B55" s="12"/>
      <c r="C55" s="12"/>
      <c r="D55" s="27"/>
      <c r="E55" s="21" t="s">
        <v>68</v>
      </c>
      <c r="F55" s="36"/>
      <c r="G55" s="16">
        <f t="shared" si="3"/>
        <v>639.3204710403234</v>
      </c>
      <c r="H55" s="17">
        <f t="shared" si="5"/>
        <v>335.27000000000004</v>
      </c>
      <c r="I55" s="18">
        <v>115.879</v>
      </c>
      <c r="J55" s="18">
        <v>113.608</v>
      </c>
      <c r="K55" s="18">
        <v>105.783</v>
      </c>
      <c r="L55" s="18">
        <f t="shared" si="4"/>
        <v>304.05047104032326</v>
      </c>
      <c r="M55" s="19">
        <v>102.25446645689439</v>
      </c>
      <c r="N55" s="19">
        <v>99.24700458342889</v>
      </c>
      <c r="O55" s="19">
        <f>102.534+0.015</f>
        <v>102.549</v>
      </c>
      <c r="P55" s="38"/>
    </row>
    <row r="56" spans="1:16" ht="30">
      <c r="A56" s="12"/>
      <c r="B56" s="12"/>
      <c r="C56" s="12"/>
      <c r="D56" s="12"/>
      <c r="E56" s="28" t="s">
        <v>69</v>
      </c>
      <c r="F56" s="36"/>
      <c r="G56" s="16">
        <f t="shared" si="3"/>
        <v>53.96996271329999</v>
      </c>
      <c r="H56" s="17">
        <f t="shared" si="5"/>
        <v>21.27</v>
      </c>
      <c r="I56" s="12">
        <v>3.535</v>
      </c>
      <c r="J56" s="12">
        <v>6.11</v>
      </c>
      <c r="K56" s="12">
        <v>11.625</v>
      </c>
      <c r="L56" s="18">
        <f t="shared" si="4"/>
        <v>32.699962713299996</v>
      </c>
      <c r="M56" s="19">
        <v>0</v>
      </c>
      <c r="N56" s="19">
        <v>0</v>
      </c>
      <c r="O56" s="19">
        <f>34.8179627133-2.118</f>
        <v>32.699962713299996</v>
      </c>
      <c r="P56" s="38"/>
    </row>
    <row r="57" spans="1:16" ht="15">
      <c r="A57" s="12"/>
      <c r="B57" s="12"/>
      <c r="C57" s="12"/>
      <c r="D57" s="12"/>
      <c r="E57" s="28" t="s">
        <v>70</v>
      </c>
      <c r="F57" s="36"/>
      <c r="G57" s="16">
        <f t="shared" si="3"/>
        <v>294.82032</v>
      </c>
      <c r="H57" s="17">
        <f t="shared" si="5"/>
        <v>53.980999999999995</v>
      </c>
      <c r="I57" s="12">
        <v>5.04</v>
      </c>
      <c r="J57" s="12">
        <v>28.201</v>
      </c>
      <c r="K57" s="12">
        <v>20.74</v>
      </c>
      <c r="L57" s="18">
        <f t="shared" si="4"/>
        <v>240.83932</v>
      </c>
      <c r="M57" s="19">
        <f>179.6095-53.485</f>
        <v>126.1245</v>
      </c>
      <c r="N57" s="19">
        <f>140.41019-53.485</f>
        <v>86.92519</v>
      </c>
      <c r="O57" s="19">
        <f>81.26463-53.475</f>
        <v>27.789629999999995</v>
      </c>
      <c r="P57" s="38"/>
    </row>
    <row r="58" spans="1:16" ht="30">
      <c r="A58" s="12"/>
      <c r="B58" s="12"/>
      <c r="C58" s="12"/>
      <c r="D58" s="12"/>
      <c r="E58" s="28" t="s">
        <v>71</v>
      </c>
      <c r="F58" s="36"/>
      <c r="G58" s="16">
        <f t="shared" si="3"/>
        <v>131.76990388579557</v>
      </c>
      <c r="H58" s="17">
        <f t="shared" si="5"/>
        <v>60.150999999999996</v>
      </c>
      <c r="I58" s="12">
        <v>20.459</v>
      </c>
      <c r="J58" s="12">
        <v>20.322</v>
      </c>
      <c r="K58" s="12">
        <v>19.37</v>
      </c>
      <c r="L58" s="18">
        <f t="shared" si="4"/>
        <v>71.61890388579558</v>
      </c>
      <c r="M58" s="19">
        <v>20.965522102792793</v>
      </c>
      <c r="N58" s="19">
        <v>23.180295883002778</v>
      </c>
      <c r="O58" s="19">
        <f>29.4900859-2.017</f>
        <v>27.4730859</v>
      </c>
      <c r="P58" s="38"/>
    </row>
    <row r="59" spans="1:16" ht="15">
      <c r="A59" s="12"/>
      <c r="B59" s="12"/>
      <c r="C59" s="12"/>
      <c r="D59" s="12"/>
      <c r="E59" s="28" t="s">
        <v>72</v>
      </c>
      <c r="F59" s="36"/>
      <c r="G59" s="16">
        <f t="shared" si="3"/>
        <v>380.61018486974626</v>
      </c>
      <c r="H59" s="17">
        <f t="shared" si="5"/>
        <v>49.486000000000004</v>
      </c>
      <c r="I59" s="12">
        <v>5.366</v>
      </c>
      <c r="J59" s="12">
        <v>18.282</v>
      </c>
      <c r="K59" s="12">
        <v>25.838</v>
      </c>
      <c r="L59" s="18">
        <f t="shared" si="4"/>
        <v>331.1241848697463</v>
      </c>
      <c r="M59" s="19">
        <v>112.12808260345125</v>
      </c>
      <c r="N59" s="19">
        <v>111.643950233995</v>
      </c>
      <c r="O59" s="19">
        <f>96.8631520323+10.489</f>
        <v>107.3521520323</v>
      </c>
      <c r="P59" s="38"/>
    </row>
    <row r="60" spans="1:16" ht="30">
      <c r="A60" s="12"/>
      <c r="B60" s="12"/>
      <c r="C60" s="12"/>
      <c r="D60" s="12"/>
      <c r="E60" s="28" t="s">
        <v>73</v>
      </c>
      <c r="F60" s="36"/>
      <c r="G60" s="16">
        <f t="shared" si="3"/>
        <v>172.6995099336048</v>
      </c>
      <c r="H60" s="17">
        <f t="shared" si="5"/>
        <v>141.803</v>
      </c>
      <c r="I60" s="12">
        <v>89.588</v>
      </c>
      <c r="J60" s="12">
        <v>11.076</v>
      </c>
      <c r="K60" s="12">
        <v>41.139</v>
      </c>
      <c r="L60" s="18">
        <f t="shared" si="4"/>
        <v>30.896509933604786</v>
      </c>
      <c r="M60" s="19">
        <v>11.22942452937053</v>
      </c>
      <c r="N60" s="19">
        <v>15.463730113903596</v>
      </c>
      <c r="O60" s="19">
        <f>5.79335529033066-1.59</f>
        <v>4.20335529033066</v>
      </c>
      <c r="P60" s="38"/>
    </row>
    <row r="61" spans="1:16" ht="25.5">
      <c r="A61" s="12"/>
      <c r="B61" s="12"/>
      <c r="C61" s="12"/>
      <c r="D61" s="12"/>
      <c r="E61" s="21" t="s">
        <v>74</v>
      </c>
      <c r="F61" s="36"/>
      <c r="G61" s="16">
        <f t="shared" si="3"/>
        <v>76.94037277441493</v>
      </c>
      <c r="H61" s="17">
        <f t="shared" si="5"/>
        <v>27.046</v>
      </c>
      <c r="I61" s="12">
        <v>5.463</v>
      </c>
      <c r="J61" s="12">
        <v>7.185</v>
      </c>
      <c r="K61" s="12">
        <v>14.398</v>
      </c>
      <c r="L61" s="18">
        <f t="shared" si="4"/>
        <v>49.89437277441493</v>
      </c>
      <c r="M61" s="19">
        <v>13.319755998476293</v>
      </c>
      <c r="N61" s="19">
        <v>21.428699118649437</v>
      </c>
      <c r="O61" s="19">
        <f>14.3189176572892+0.827</f>
        <v>15.1459176572892</v>
      </c>
      <c r="P61" s="38"/>
    </row>
    <row r="62" spans="1:16" ht="12.75">
      <c r="A62" s="12"/>
      <c r="B62" s="12"/>
      <c r="C62" s="12"/>
      <c r="D62" s="12"/>
      <c r="E62" s="21" t="s">
        <v>75</v>
      </c>
      <c r="F62" s="36"/>
      <c r="G62" s="16">
        <f t="shared" si="3"/>
        <v>61.478</v>
      </c>
      <c r="H62" s="17">
        <f t="shared" si="5"/>
        <v>61.478</v>
      </c>
      <c r="I62" s="12">
        <v>0</v>
      </c>
      <c r="J62" s="12">
        <v>0</v>
      </c>
      <c r="K62" s="12">
        <v>61.478</v>
      </c>
      <c r="L62" s="18">
        <f t="shared" si="4"/>
        <v>0</v>
      </c>
      <c r="M62" s="24">
        <v>0</v>
      </c>
      <c r="N62" s="24">
        <v>0</v>
      </c>
      <c r="O62" s="24">
        <v>0</v>
      </c>
      <c r="P62" s="38"/>
    </row>
    <row r="63" spans="1:16" ht="12.75">
      <c r="A63" s="12"/>
      <c r="B63" s="12"/>
      <c r="C63" s="12"/>
      <c r="D63" s="12"/>
      <c r="E63" s="21" t="s">
        <v>76</v>
      </c>
      <c r="F63" s="36"/>
      <c r="G63" s="16">
        <f t="shared" si="3"/>
        <v>49.87002013706728</v>
      </c>
      <c r="H63" s="17">
        <f t="shared" si="5"/>
        <v>41.983000000000004</v>
      </c>
      <c r="I63" s="12">
        <v>3.566</v>
      </c>
      <c r="J63" s="12">
        <v>8.263</v>
      </c>
      <c r="K63" s="12">
        <v>30.154</v>
      </c>
      <c r="L63" s="18">
        <f t="shared" si="4"/>
        <v>7.887020137067273</v>
      </c>
      <c r="M63" s="19">
        <v>0.9148140886065074</v>
      </c>
      <c r="N63" s="19">
        <v>6.266120894854045</v>
      </c>
      <c r="O63" s="19">
        <v>0.7060851536067201</v>
      </c>
      <c r="P63" s="38"/>
    </row>
    <row r="64" spans="1:16" ht="30" customHeight="1">
      <c r="A64" s="12"/>
      <c r="B64" s="12"/>
      <c r="C64" s="12"/>
      <c r="D64" s="12"/>
      <c r="E64" s="21" t="s">
        <v>77</v>
      </c>
      <c r="F64" s="12"/>
      <c r="G64" s="16">
        <f t="shared" si="3"/>
        <v>1330.7070600000002</v>
      </c>
      <c r="H64" s="17">
        <f t="shared" si="5"/>
        <v>280.283</v>
      </c>
      <c r="I64" s="12">
        <v>48.317</v>
      </c>
      <c r="J64" s="12">
        <v>117.687</v>
      </c>
      <c r="K64" s="12">
        <v>114.279</v>
      </c>
      <c r="L64" s="18">
        <f t="shared" si="4"/>
        <v>1050.42406</v>
      </c>
      <c r="M64" s="19">
        <v>179.98554</v>
      </c>
      <c r="N64" s="19">
        <v>853.54176</v>
      </c>
      <c r="O64" s="19">
        <v>16.89676</v>
      </c>
      <c r="P64" s="12"/>
    </row>
    <row r="65" spans="12:15" ht="12.75">
      <c r="L65" s="29"/>
      <c r="M65" s="29"/>
      <c r="N65" s="29"/>
      <c r="O65" s="29"/>
    </row>
    <row r="66" spans="1:3" ht="12.75">
      <c r="A66" s="30" t="s">
        <v>78</v>
      </c>
      <c r="B66" s="31" t="s">
        <v>79</v>
      </c>
      <c r="C66" s="32"/>
    </row>
    <row r="67" spans="1:3" ht="12.75">
      <c r="A67" s="30"/>
      <c r="B67" s="33" t="s">
        <v>80</v>
      </c>
      <c r="C67" s="32"/>
    </row>
    <row r="68" ht="12.75">
      <c r="M68" s="29"/>
    </row>
  </sheetData>
  <mergeCells count="3">
    <mergeCell ref="A5:P6"/>
    <mergeCell ref="F10:F63"/>
    <mergeCell ref="P10:P63"/>
  </mergeCells>
  <printOptions/>
  <pageMargins left="0.75" right="0.75" top="1" bottom="1" header="0.5" footer="0.5"/>
  <pageSetup fitToHeight="2" fitToWidth="1" horizontalDpi="600" verticalDpi="600" orientation="portrait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2013-08-15T15:48:25Z</cp:lastPrinted>
  <dcterms:created xsi:type="dcterms:W3CDTF">2013-08-15T15:42:40Z</dcterms:created>
  <dcterms:modified xsi:type="dcterms:W3CDTF">2013-08-16T05:23:16Z</dcterms:modified>
  <cp:category/>
  <cp:version/>
  <cp:contentType/>
  <cp:contentStatus/>
</cp:coreProperties>
</file>